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5456" windowHeight="111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<sst xmlns="http://schemas.openxmlformats.org/spreadsheetml/2006/main" count="129" uniqueCount="84">
  <si>
    <t>p_N2-max</t>
  </si>
  <si>
    <t>p_He-max</t>
  </si>
  <si>
    <t>p_O2-min</t>
  </si>
  <si>
    <t>Anteil O2</t>
  </si>
  <si>
    <t>Anteil N2</t>
  </si>
  <si>
    <t>Anteil He</t>
  </si>
  <si>
    <t>bar</t>
  </si>
  <si>
    <t>m</t>
  </si>
  <si>
    <t>MinOD</t>
  </si>
  <si>
    <t>MaxOD</t>
  </si>
  <si>
    <t>---</t>
  </si>
  <si>
    <t>max. Anteil O2</t>
  </si>
  <si>
    <t>max. Anteil N2</t>
  </si>
  <si>
    <t>max. Anteil He</t>
  </si>
  <si>
    <t>O2</t>
  </si>
  <si>
    <t>N2</t>
  </si>
  <si>
    <t>He</t>
  </si>
  <si>
    <t>min. OD gewünscht</t>
  </si>
  <si>
    <t>max. OD gewünscht</t>
  </si>
  <si>
    <t>Wasser (1=süss/2=salz)</t>
  </si>
  <si>
    <t>1) Vorgaben</t>
  </si>
  <si>
    <t>[m]</t>
  </si>
  <si>
    <t>Begriffserklärungen:</t>
  </si>
  <si>
    <r>
      <t>MinOD:</t>
    </r>
    <r>
      <rPr>
        <sz val="11"/>
        <rFont val="Arial"/>
        <family val="0"/>
      </rPr>
      <t xml:space="preserve">  minimum operation depth; geringste Einsatztiefe eines Gases oder Gemisches</t>
    </r>
  </si>
  <si>
    <r>
      <t>MaxOD:</t>
    </r>
    <r>
      <rPr>
        <sz val="11"/>
        <rFont val="Arial"/>
        <family val="0"/>
      </rPr>
      <t xml:space="preserve"> maximum operation depth; maximale Einsatztiefe eines Gases oder Gemisches</t>
    </r>
  </si>
  <si>
    <t xml:space="preserve">ACHTUNG: </t>
  </si>
  <si>
    <t xml:space="preserve">- Jede Haftung aus der Anwendung dieser Applikation wird abgelehnt. Benutzung auf eigenes Risiko!  </t>
  </si>
  <si>
    <t>= Eingabefelder</t>
  </si>
  <si>
    <t>xx1235yyy</t>
  </si>
  <si>
    <t>Eingabe des gewünschten Gemisches:</t>
  </si>
  <si>
    <t>min.  Anteil O2</t>
  </si>
  <si>
    <t>definitiv      gewählt</t>
  </si>
  <si>
    <t xml:space="preserve">Gaspriorisierung: </t>
  </si>
  <si>
    <t>Partialdrücke</t>
  </si>
  <si>
    <t>Minimum and Maximum Operation Depth von Gemischen</t>
  </si>
  <si>
    <t xml:space="preserve">  Einsatztiefen</t>
  </si>
  <si>
    <t>p_O2-max</t>
  </si>
  <si>
    <t>b) Luft -&gt; EANx -&gt; HeOx -&gt; Tmx</t>
  </si>
  <si>
    <t>a) 1. max.O2 (best mix) / 2. N2 / 3. min. He</t>
  </si>
  <si>
    <t>Gemisch:</t>
  </si>
  <si>
    <t xml:space="preserve">       Partialdrücke</t>
  </si>
  <si>
    <t xml:space="preserve">      Einsatztiefen</t>
  </si>
  <si>
    <t>Die Applikation berechnet einen Vorschlag. Innerhalb der angegebenen Grenzen kann dieser vom User nochmals verändert werden.</t>
  </si>
  <si>
    <t>kg/m3</t>
  </si>
  <si>
    <t>bar/m H2O</t>
  </si>
  <si>
    <t>EAD</t>
  </si>
  <si>
    <t>= Endresultate</t>
  </si>
  <si>
    <t>= Zwischenresultate</t>
  </si>
  <si>
    <r>
      <t>12345</t>
    </r>
    <r>
      <rPr>
        <b/>
        <sz val="11"/>
        <color indexed="12"/>
        <rFont val="Arial"/>
        <family val="2"/>
      </rPr>
      <t xml:space="preserve"> / 12345</t>
    </r>
  </si>
  <si>
    <t>Gase einzeln</t>
  </si>
  <si>
    <t>(Travel+Bottom: 1.40bar / Deco: 1.60bar)</t>
  </si>
  <si>
    <t>m   ---&gt;</t>
  </si>
  <si>
    <t>Gemisch Vorschlag</t>
  </si>
  <si>
    <t>EAD_max</t>
  </si>
  <si>
    <t>Summe:</t>
  </si>
  <si>
    <t>min. Anteil He</t>
  </si>
  <si>
    <t>mit O2</t>
  </si>
  <si>
    <t>min. Anteil N2</t>
  </si>
  <si>
    <t xml:space="preserve">p_O2-max </t>
  </si>
  <si>
    <t>p_tot</t>
  </si>
  <si>
    <t xml:space="preserve">p_tot </t>
  </si>
  <si>
    <t>korr.</t>
  </si>
  <si>
    <t>- Für Nitrox- und Trimix-tauchen ist zwingend die entsprechende Ausbildung u. Zertifizierung nötig!</t>
  </si>
  <si>
    <t>Dichte von Luft</t>
  </si>
  <si>
    <t>Erdbeschleunigung</t>
  </si>
  <si>
    <t>m/sec2</t>
  </si>
  <si>
    <t>a) Physikalische Grössen:</t>
  </si>
  <si>
    <t>b) Gewählte Partialdruck-Grenzwerte:</t>
  </si>
  <si>
    <t>c) Auswahl Tauchplatz-Parameter:</t>
  </si>
  <si>
    <r>
      <t>ODER</t>
    </r>
    <r>
      <rPr>
        <sz val="11"/>
        <rFont val="Arial"/>
        <family val="0"/>
      </rPr>
      <t xml:space="preserve"> Höhe ü. Meer</t>
    </r>
  </si>
  <si>
    <t>Selektion (1=Druck; 2=Höhe)</t>
  </si>
  <si>
    <r>
      <t>ENTWEDER</t>
    </r>
    <r>
      <rPr>
        <sz val="11"/>
        <rFont val="Arial"/>
        <family val="0"/>
      </rPr>
      <t xml:space="preserve"> Oberfl.-Druck</t>
    </r>
  </si>
  <si>
    <t>Oberflächen-Druck</t>
  </si>
  <si>
    <t>Höhe ü. Meer</t>
  </si>
  <si>
    <t>Dichte H2O</t>
  </si>
  <si>
    <t>Druckzunahme</t>
  </si>
  <si>
    <t xml:space="preserve">  jedes Gas für sich</t>
  </si>
  <si>
    <t>Kenntnissen verändert werden!</t>
  </si>
  <si>
    <t>Dies sind physikalische und physiologische Werte. Die Default-Werte sollten nur bei entsprechenden</t>
  </si>
  <si>
    <t>EAD: equaivalent air depth</t>
  </si>
  <si>
    <t>(Meereshöhe=1.013bar)</t>
  </si>
  <si>
    <r>
      <t xml:space="preserve">2) Vorgehen 1: </t>
    </r>
    <r>
      <rPr>
        <b/>
        <sz val="12"/>
        <rFont val="Arial"/>
        <family val="2"/>
      </rPr>
      <t>Tiefen vorgegeben, Gemisch gesucht</t>
    </r>
  </si>
  <si>
    <r>
      <t xml:space="preserve">3) Vorgehen 2: </t>
    </r>
    <r>
      <rPr>
        <b/>
        <sz val="12"/>
        <rFont val="Arial"/>
        <family val="2"/>
      </rPr>
      <t>Gemisch gewählt, Operation Depth (OD) berechnet</t>
    </r>
  </si>
  <si>
    <t>END: equivalent nitrogen depth (präziser)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</si>
</sst>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"/>
    <numFmt numFmtId="166" formatCode="0.000"/>
    <numFmt numFmtId="167" formatCode="0.0000"/>
  </numFmts>
  <fonts count="19"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11"/>
      <color indexed="12"/>
      <name val="Arial"/>
      <family val="2"/>
    </font>
    <font>
      <b/>
      <sz val="18"/>
      <name val="Arial"/>
      <family val="2"/>
    </font>
    <font>
      <sz val="11"/>
      <color indexed="10"/>
      <name val="Arial"/>
      <family val="0"/>
    </font>
    <font>
      <b/>
      <sz val="11"/>
      <color indexed="16"/>
      <name val="Arial"/>
      <family val="2"/>
    </font>
    <font>
      <b/>
      <i/>
      <sz val="11"/>
      <color indexed="10"/>
      <name val="Arial"/>
      <family val="2"/>
    </font>
    <font>
      <b/>
      <i/>
      <sz val="9"/>
      <color indexed="10"/>
      <name val="Arial"/>
      <family val="2"/>
    </font>
    <font>
      <i/>
      <sz val="11"/>
      <color indexed="10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bgColor indexed="42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65" fontId="7" fillId="3" borderId="3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0" fillId="6" borderId="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5" xfId="0" applyFill="1" applyBorder="1" applyAlignment="1">
      <alignment/>
    </xf>
    <xf numFmtId="0" fontId="13" fillId="6" borderId="0" xfId="0" applyFont="1" applyFill="1" applyAlignment="1">
      <alignment/>
    </xf>
    <xf numFmtId="0" fontId="0" fillId="6" borderId="3" xfId="0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right"/>
    </xf>
    <xf numFmtId="165" fontId="6" fillId="7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" fillId="6" borderId="9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3" fillId="6" borderId="12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3" fillId="3" borderId="12" xfId="0" applyFont="1" applyFill="1" applyBorder="1" applyAlignment="1">
      <alignment horizontal="right"/>
    </xf>
    <xf numFmtId="0" fontId="0" fillId="3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6" fillId="6" borderId="0" xfId="0" applyFont="1" applyFill="1" applyAlignment="1">
      <alignment/>
    </xf>
    <xf numFmtId="165" fontId="3" fillId="9" borderId="0" xfId="0" applyNumberFormat="1" applyFont="1" applyFill="1" applyBorder="1" applyAlignment="1" applyProtection="1">
      <alignment/>
      <protection locked="0"/>
    </xf>
    <xf numFmtId="164" fontId="3" fillId="9" borderId="0" xfId="0" applyNumberFormat="1" applyFont="1" applyFill="1" applyBorder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0" fillId="3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3" fillId="3" borderId="10" xfId="0" applyFont="1" applyFill="1" applyBorder="1" applyAlignment="1">
      <alignment/>
    </xf>
    <xf numFmtId="165" fontId="6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center" vertical="center" wrapText="1"/>
    </xf>
    <xf numFmtId="165" fontId="6" fillId="11" borderId="0" xfId="0" applyNumberFormat="1" applyFont="1" applyFill="1" applyBorder="1" applyAlignment="1">
      <alignment horizontal="center"/>
    </xf>
    <xf numFmtId="165" fontId="6" fillId="11" borderId="0" xfId="0" applyNumberFormat="1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8" xfId="0" applyFill="1" applyBorder="1" applyAlignment="1">
      <alignment/>
    </xf>
    <xf numFmtId="0" fontId="6" fillId="11" borderId="17" xfId="0" applyFont="1" applyFill="1" applyBorder="1" applyAlignment="1">
      <alignment/>
    </xf>
    <xf numFmtId="0" fontId="6" fillId="11" borderId="17" xfId="0" applyFont="1" applyFill="1" applyBorder="1" applyAlignment="1">
      <alignment horizontal="right"/>
    </xf>
    <xf numFmtId="0" fontId="0" fillId="6" borderId="19" xfId="0" applyFill="1" applyBorder="1" applyAlignment="1">
      <alignment/>
    </xf>
    <xf numFmtId="0" fontId="3" fillId="6" borderId="6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7" fillId="6" borderId="4" xfId="0" applyNumberFormat="1" applyFont="1" applyFill="1" applyBorder="1" applyAlignment="1">
      <alignment horizontal="center"/>
    </xf>
    <xf numFmtId="164" fontId="0" fillId="6" borderId="4" xfId="0" applyNumberFormat="1" applyFill="1" applyBorder="1" applyAlignment="1">
      <alignment/>
    </xf>
    <xf numFmtId="164" fontId="0" fillId="6" borderId="4" xfId="0" applyNumberFormat="1" applyFont="1" applyFill="1" applyBorder="1" applyAlignment="1">
      <alignment/>
    </xf>
    <xf numFmtId="164" fontId="7" fillId="6" borderId="7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2" fontId="6" fillId="8" borderId="20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165" fontId="6" fillId="6" borderId="20" xfId="0" applyNumberFormat="1" applyFont="1" applyFill="1" applyBorder="1" applyAlignment="1">
      <alignment horizontal="center"/>
    </xf>
    <xf numFmtId="2" fontId="6" fillId="6" borderId="2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6" fillId="5" borderId="17" xfId="0" applyFont="1" applyFill="1" applyBorder="1" applyAlignment="1">
      <alignment horizontal="right" vertical="center"/>
    </xf>
    <xf numFmtId="0" fontId="6" fillId="5" borderId="17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/>
    </xf>
    <xf numFmtId="0" fontId="15" fillId="6" borderId="0" xfId="0" applyFont="1" applyFill="1" applyBorder="1" applyAlignment="1">
      <alignment/>
    </xf>
    <xf numFmtId="10" fontId="3" fillId="6" borderId="3" xfId="0" applyNumberFormat="1" applyFont="1" applyFill="1" applyBorder="1" applyAlignment="1">
      <alignment horizontal="center"/>
    </xf>
    <xf numFmtId="10" fontId="3" fillId="12" borderId="3" xfId="0" applyNumberFormat="1" applyFont="1" applyFill="1" applyBorder="1" applyAlignment="1">
      <alignment horizontal="center"/>
    </xf>
    <xf numFmtId="10" fontId="3" fillId="6" borderId="8" xfId="0" applyNumberFormat="1" applyFont="1" applyFill="1" applyBorder="1" applyAlignment="1">
      <alignment horizontal="center"/>
    </xf>
    <xf numFmtId="10" fontId="8" fillId="6" borderId="0" xfId="0" applyNumberFormat="1" applyFont="1" applyFill="1" applyBorder="1" applyAlignment="1">
      <alignment/>
    </xf>
    <xf numFmtId="10" fontId="8" fillId="6" borderId="0" xfId="0" applyNumberFormat="1" applyFont="1" applyFill="1" applyBorder="1" applyAlignment="1">
      <alignment horizontal="right"/>
    </xf>
    <xf numFmtId="10" fontId="8" fillId="6" borderId="6" xfId="0" applyNumberFormat="1" applyFont="1" applyFill="1" applyBorder="1" applyAlignment="1">
      <alignment horizontal="right"/>
    </xf>
    <xf numFmtId="0" fontId="16" fillId="6" borderId="0" xfId="0" applyFont="1" applyFill="1" applyBorder="1" applyAlignment="1">
      <alignment horizontal="center"/>
    </xf>
    <xf numFmtId="164" fontId="6" fillId="9" borderId="19" xfId="0" applyNumberFormat="1" applyFont="1" applyFill="1" applyBorder="1" applyAlignment="1" applyProtection="1">
      <alignment horizontal="center"/>
      <protection locked="0"/>
    </xf>
    <xf numFmtId="164" fontId="6" fillId="9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166" fontId="3" fillId="2" borderId="0" xfId="0" applyNumberFormat="1" applyFont="1" applyFill="1" applyBorder="1" applyAlignment="1" applyProtection="1">
      <alignment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quotePrefix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quotePrefix="1">
      <alignment vertical="center"/>
    </xf>
    <xf numFmtId="0" fontId="3" fillId="9" borderId="0" xfId="0" applyFont="1" applyFill="1" applyAlignment="1">
      <alignment horizontal="center" vertical="center"/>
    </xf>
    <xf numFmtId="0" fontId="3" fillId="2" borderId="0" xfId="0" applyFont="1" applyFill="1" applyAlignment="1" quotePrefix="1">
      <alignment vertical="center"/>
    </xf>
    <xf numFmtId="0" fontId="6" fillId="5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" fontId="3" fillId="9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>
      <alignment vertical="center"/>
    </xf>
    <xf numFmtId="0" fontId="6" fillId="10" borderId="0" xfId="0" applyFont="1" applyFill="1" applyBorder="1" applyAlignment="1">
      <alignment horizontal="center" vertical="center"/>
    </xf>
    <xf numFmtId="0" fontId="0" fillId="10" borderId="3" xfId="0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1" fontId="6" fillId="10" borderId="0" xfId="0" applyNumberFormat="1" applyFont="1" applyFill="1" applyBorder="1" applyAlignment="1">
      <alignment horizontal="center" vertical="center"/>
    </xf>
    <xf numFmtId="0" fontId="3" fillId="10" borderId="0" xfId="0" applyFont="1" applyFill="1" applyAlignment="1">
      <alignment horizontal="right" vertical="center"/>
    </xf>
    <xf numFmtId="165" fontId="6" fillId="10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166" fontId="3" fillId="9" borderId="0" xfId="0" applyNumberFormat="1" applyFont="1" applyFill="1" applyAlignment="1">
      <alignment horizontal="center" vertical="center"/>
    </xf>
    <xf numFmtId="166" fontId="6" fillId="10" borderId="0" xfId="0" applyNumberFormat="1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Border="1" applyAlignment="1">
      <alignment vertical="center"/>
    </xf>
    <xf numFmtId="0" fontId="10" fillId="6" borderId="22" xfId="0" applyFont="1" applyFill="1" applyBorder="1" applyAlignment="1">
      <alignment horizontal="center" vertical="top" wrapText="1"/>
    </xf>
    <xf numFmtId="0" fontId="10" fillId="6" borderId="19" xfId="0" applyFont="1" applyFill="1" applyBorder="1" applyAlignment="1">
      <alignment horizontal="center" vertical="top" wrapText="1"/>
    </xf>
    <xf numFmtId="0" fontId="6" fillId="11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2" borderId="0" xfId="0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73</xdr:row>
      <xdr:rowOff>152400</xdr:rowOff>
    </xdr:from>
    <xdr:to>
      <xdr:col>11</xdr:col>
      <xdr:colOff>361950</xdr:colOff>
      <xdr:row>74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867525" y="12106275"/>
          <a:ext cx="304800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54</xdr:row>
      <xdr:rowOff>238125</xdr:rowOff>
    </xdr:from>
    <xdr:to>
      <xdr:col>13</xdr:col>
      <xdr:colOff>390525</xdr:colOff>
      <xdr:row>55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610475" y="8801100"/>
          <a:ext cx="3333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52</xdr:row>
      <xdr:rowOff>28575</xdr:rowOff>
    </xdr:from>
    <xdr:to>
      <xdr:col>5</xdr:col>
      <xdr:colOff>371475</xdr:colOff>
      <xdr:row>53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895725" y="8248650"/>
          <a:ext cx="133350" cy="25717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54</xdr:row>
      <xdr:rowOff>247650</xdr:rowOff>
    </xdr:from>
    <xdr:to>
      <xdr:col>8</xdr:col>
      <xdr:colOff>447675</xdr:colOff>
      <xdr:row>55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695950" y="8810625"/>
          <a:ext cx="323850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73</xdr:row>
      <xdr:rowOff>152400</xdr:rowOff>
    </xdr:from>
    <xdr:to>
      <xdr:col>7</xdr:col>
      <xdr:colOff>419100</xdr:colOff>
      <xdr:row>74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5067300" y="12106275"/>
          <a:ext cx="295275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73</xdr:row>
      <xdr:rowOff>142875</xdr:rowOff>
    </xdr:from>
    <xdr:to>
      <xdr:col>4</xdr:col>
      <xdr:colOff>342900</xdr:colOff>
      <xdr:row>74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3295650" y="12096750"/>
          <a:ext cx="2952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52</xdr:row>
      <xdr:rowOff>38100</xdr:rowOff>
    </xdr:from>
    <xdr:to>
      <xdr:col>2</xdr:col>
      <xdr:colOff>542925</xdr:colOff>
      <xdr:row>53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2447925" y="8258175"/>
          <a:ext cx="152400" cy="2476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30</xdr:row>
      <xdr:rowOff>9525</xdr:rowOff>
    </xdr:from>
    <xdr:to>
      <xdr:col>5</xdr:col>
      <xdr:colOff>533400</xdr:colOff>
      <xdr:row>31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3800475" y="4629150"/>
          <a:ext cx="39052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54</xdr:row>
      <xdr:rowOff>247650</xdr:rowOff>
    </xdr:from>
    <xdr:to>
      <xdr:col>6</xdr:col>
      <xdr:colOff>495300</xdr:colOff>
      <xdr:row>55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4486275" y="8810625"/>
          <a:ext cx="333375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52</xdr:row>
      <xdr:rowOff>28575</xdr:rowOff>
    </xdr:from>
    <xdr:to>
      <xdr:col>7</xdr:col>
      <xdr:colOff>361950</xdr:colOff>
      <xdr:row>53</xdr:row>
      <xdr:rowOff>95250</xdr:rowOff>
    </xdr:to>
    <xdr:sp>
      <xdr:nvSpPr>
        <xdr:cNvPr id="10" name="AutoShape 13"/>
        <xdr:cNvSpPr>
          <a:spLocks/>
        </xdr:cNvSpPr>
      </xdr:nvSpPr>
      <xdr:spPr>
        <a:xfrm>
          <a:off x="5172075" y="8248650"/>
          <a:ext cx="133350" cy="25717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35</xdr:row>
      <xdr:rowOff>85725</xdr:rowOff>
    </xdr:from>
    <xdr:to>
      <xdr:col>5</xdr:col>
      <xdr:colOff>533400</xdr:colOff>
      <xdr:row>36</xdr:row>
      <xdr:rowOff>85725</xdr:rowOff>
    </xdr:to>
    <xdr:sp>
      <xdr:nvSpPr>
        <xdr:cNvPr id="11" name="AutoShape 14"/>
        <xdr:cNvSpPr>
          <a:spLocks/>
        </xdr:cNvSpPr>
      </xdr:nvSpPr>
      <xdr:spPr>
        <a:xfrm>
          <a:off x="3800475" y="5505450"/>
          <a:ext cx="390525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38100</xdr:rowOff>
    </xdr:from>
    <xdr:to>
      <xdr:col>5</xdr:col>
      <xdr:colOff>533400</xdr:colOff>
      <xdr:row>39</xdr:row>
      <xdr:rowOff>47625</xdr:rowOff>
    </xdr:to>
    <xdr:sp>
      <xdr:nvSpPr>
        <xdr:cNvPr id="12" name="AutoShape 15"/>
        <xdr:cNvSpPr>
          <a:spLocks/>
        </xdr:cNvSpPr>
      </xdr:nvSpPr>
      <xdr:spPr>
        <a:xfrm>
          <a:off x="3800475" y="5867400"/>
          <a:ext cx="390525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75" zoomScaleNormal="75" workbookViewId="0" topLeftCell="A79">
      <selection activeCell="V17" sqref="V17"/>
    </sheetView>
  </sheetViews>
  <sheetFormatPr defaultColWidth="11.00390625" defaultRowHeight="14.25"/>
  <cols>
    <col min="1" max="1" width="1.4921875" style="0" customWidth="1"/>
    <col min="2" max="2" width="25.50390625" style="0" customWidth="1"/>
    <col min="3" max="3" width="8.375" style="0" customWidth="1"/>
    <col min="4" max="4" width="7.25390625" style="0" customWidth="1"/>
    <col min="5" max="5" width="5.375" style="0" customWidth="1"/>
    <col min="6" max="6" width="8.625" style="0" customWidth="1"/>
    <col min="7" max="8" width="8.25390625" style="0" customWidth="1"/>
    <col min="9" max="9" width="7.75390625" style="0" customWidth="1"/>
    <col min="10" max="10" width="5.50390625" style="0" customWidth="1"/>
    <col min="11" max="11" width="3.00390625" style="0" customWidth="1"/>
    <col min="12" max="12" width="5.75390625" style="0" customWidth="1"/>
    <col min="13" max="13" width="4.00390625" style="0" customWidth="1"/>
    <col min="14" max="14" width="5.625" style="0" customWidth="1"/>
    <col min="15" max="15" width="5.875" style="0" customWidth="1"/>
    <col min="16" max="16" width="4.375" style="0" customWidth="1"/>
    <col min="17" max="17" width="5.75390625" style="0" customWidth="1"/>
    <col min="18" max="18" width="4.25390625" style="0" customWidth="1"/>
    <col min="19" max="19" width="2.125" style="0" customWidth="1"/>
    <col min="20" max="20" width="1.00390625" style="0" customWidth="1"/>
  </cols>
  <sheetData>
    <row r="1" spans="1:20" s="127" customFormat="1" ht="22.5">
      <c r="A1" s="126"/>
      <c r="B1" s="146" t="s">
        <v>34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s="127" customFormat="1" ht="6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27" customFormat="1" ht="13.5">
      <c r="A3" s="126"/>
      <c r="B3" s="126" t="s">
        <v>22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27" customFormat="1" ht="13.5">
      <c r="A4" s="126"/>
      <c r="B4" s="147" t="s">
        <v>23</v>
      </c>
      <c r="C4" s="148"/>
      <c r="D4" s="148"/>
      <c r="E4" s="148"/>
      <c r="F4" s="148"/>
      <c r="G4" s="148"/>
      <c r="H4" s="148"/>
      <c r="I4" s="148"/>
      <c r="J4" s="148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27" customFormat="1" ht="13.5">
      <c r="A5" s="126"/>
      <c r="B5" s="147" t="s">
        <v>24</v>
      </c>
      <c r="C5" s="148"/>
      <c r="D5" s="148"/>
      <c r="E5" s="148"/>
      <c r="F5" s="148"/>
      <c r="G5" s="148"/>
      <c r="H5" s="148"/>
      <c r="I5" s="148"/>
      <c r="J5" s="148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s="127" customFormat="1" ht="11.25" customHeight="1">
      <c r="A6" s="126"/>
      <c r="B6" s="149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s="127" customFormat="1" ht="13.5">
      <c r="A7" s="126"/>
      <c r="B7" s="150" t="s">
        <v>25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26"/>
      <c r="N7" s="126"/>
      <c r="O7" s="126"/>
      <c r="P7" s="126"/>
      <c r="Q7" s="126"/>
      <c r="R7" s="126"/>
      <c r="S7" s="126"/>
      <c r="T7" s="126"/>
    </row>
    <row r="8" spans="1:20" s="127" customFormat="1" ht="13.5">
      <c r="A8" s="126"/>
      <c r="B8" s="151" t="s">
        <v>62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26"/>
      <c r="N8" s="126"/>
      <c r="O8" s="126"/>
      <c r="P8" s="126"/>
      <c r="Q8" s="126"/>
      <c r="R8" s="126"/>
      <c r="S8" s="126"/>
      <c r="T8" s="126"/>
    </row>
    <row r="9" spans="1:20" s="127" customFormat="1" ht="13.5">
      <c r="A9" s="126"/>
      <c r="B9" s="151" t="s">
        <v>26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26"/>
      <c r="N9" s="126"/>
      <c r="O9" s="126"/>
      <c r="P9" s="126"/>
      <c r="Q9" s="126"/>
      <c r="R9" s="126"/>
      <c r="S9" s="126"/>
      <c r="T9" s="126"/>
    </row>
    <row r="10" spans="1:20" s="127" customFormat="1" ht="9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s="127" customFormat="1" ht="13.5">
      <c r="A11" s="126"/>
      <c r="B11" s="152" t="s">
        <v>28</v>
      </c>
      <c r="C11" s="153" t="s">
        <v>27</v>
      </c>
      <c r="D11" s="149"/>
      <c r="E11" s="149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s="127" customFormat="1" ht="6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s="127" customFormat="1" ht="13.5">
      <c r="A13" s="126"/>
      <c r="B13" s="154">
        <v>12345</v>
      </c>
      <c r="C13" s="153" t="s">
        <v>46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s="127" customFormat="1" ht="13.5">
      <c r="A14" s="126"/>
      <c r="B14" s="155">
        <v>12345</v>
      </c>
      <c r="C14" s="153" t="s">
        <v>46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s="127" customFormat="1" ht="13.5">
      <c r="A15" s="126"/>
      <c r="B15" s="156" t="s">
        <v>48</v>
      </c>
      <c r="C15" s="153" t="s">
        <v>47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  <row r="16" spans="1:20" s="127" customFormat="1" ht="13.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</row>
    <row r="17" spans="1:20" s="127" customFormat="1" ht="13.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</row>
    <row r="18" spans="1:20" ht="13.5">
      <c r="A18" s="1"/>
      <c r="B18" s="2" t="s">
        <v>20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127" customFormat="1" ht="13.5">
      <c r="A19" s="126"/>
      <c r="B19" s="150" t="s">
        <v>78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26"/>
      <c r="O19" s="126"/>
      <c r="P19" s="126"/>
      <c r="Q19" s="126"/>
      <c r="R19" s="126"/>
      <c r="S19" s="126"/>
      <c r="T19" s="126"/>
    </row>
    <row r="20" spans="1:20" s="127" customFormat="1" ht="13.5">
      <c r="A20" s="126"/>
      <c r="B20" s="150" t="s">
        <v>77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26"/>
      <c r="O20" s="126"/>
      <c r="P20" s="126"/>
      <c r="Q20" s="126"/>
      <c r="R20" s="126"/>
      <c r="S20" s="126"/>
      <c r="T20" s="126"/>
    </row>
    <row r="21" spans="1:20" s="127" customFormat="1" ht="5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44"/>
      <c r="M21" s="126"/>
      <c r="N21" s="126"/>
      <c r="O21" s="126"/>
      <c r="P21" s="126"/>
      <c r="Q21" s="126"/>
      <c r="R21" s="126"/>
      <c r="S21" s="126"/>
      <c r="T21" s="126"/>
    </row>
    <row r="22" spans="1:20" s="127" customFormat="1" ht="5.25" customHeight="1">
      <c r="A22" s="126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26"/>
      <c r="S22" s="126"/>
      <c r="T22" s="126"/>
    </row>
    <row r="23" spans="1:20" s="127" customFormat="1" ht="18" customHeight="1">
      <c r="A23" s="126"/>
      <c r="B23" s="131" t="s">
        <v>66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26"/>
      <c r="M23" s="132"/>
      <c r="N23" s="132"/>
      <c r="O23" s="132"/>
      <c r="P23" s="132"/>
      <c r="Q23" s="133"/>
      <c r="R23" s="126"/>
      <c r="S23" s="126"/>
      <c r="T23" s="126"/>
    </row>
    <row r="24" spans="1:20" s="127" customFormat="1" ht="13.5">
      <c r="A24" s="126"/>
      <c r="B24" s="164" t="s">
        <v>63</v>
      </c>
      <c r="C24" s="175">
        <v>1.24</v>
      </c>
      <c r="D24" s="162" t="s">
        <v>43</v>
      </c>
      <c r="E24" s="132"/>
      <c r="F24" s="132"/>
      <c r="G24" s="132"/>
      <c r="H24" s="132"/>
      <c r="I24" s="132"/>
      <c r="J24" s="132"/>
      <c r="K24" s="132"/>
      <c r="L24" s="126"/>
      <c r="M24" s="132"/>
      <c r="N24" s="132"/>
      <c r="O24" s="126"/>
      <c r="P24" s="126"/>
      <c r="Q24" s="133"/>
      <c r="R24" s="126"/>
      <c r="S24" s="126"/>
      <c r="T24" s="126"/>
    </row>
    <row r="25" spans="1:20" s="127" customFormat="1" ht="13.5">
      <c r="A25" s="126"/>
      <c r="B25" s="164" t="s">
        <v>64</v>
      </c>
      <c r="C25" s="175">
        <v>9.81</v>
      </c>
      <c r="D25" s="162" t="s">
        <v>65</v>
      </c>
      <c r="E25" s="132"/>
      <c r="F25" s="132"/>
      <c r="G25" s="132"/>
      <c r="H25" s="132"/>
      <c r="I25" s="132"/>
      <c r="J25" s="132"/>
      <c r="K25" s="132"/>
      <c r="L25" s="126"/>
      <c r="M25" s="132"/>
      <c r="N25" s="132"/>
      <c r="O25" s="126"/>
      <c r="P25" s="126"/>
      <c r="Q25" s="133"/>
      <c r="R25" s="126"/>
      <c r="S25" s="126"/>
      <c r="T25" s="126"/>
    </row>
    <row r="26" spans="1:20" s="127" customFormat="1" ht="5.25" customHeight="1">
      <c r="A26" s="126"/>
      <c r="B26" s="134"/>
      <c r="C26" s="135"/>
      <c r="D26" s="132"/>
      <c r="E26" s="132"/>
      <c r="F26" s="132"/>
      <c r="G26" s="132"/>
      <c r="H26" s="132"/>
      <c r="I26" s="132"/>
      <c r="J26" s="132"/>
      <c r="K26" s="132"/>
      <c r="L26" s="126"/>
      <c r="M26" s="132"/>
      <c r="N26" s="132"/>
      <c r="O26" s="126"/>
      <c r="P26" s="126"/>
      <c r="Q26" s="133"/>
      <c r="R26" s="126"/>
      <c r="S26" s="126"/>
      <c r="T26" s="126"/>
    </row>
    <row r="27" spans="1:20" s="127" customFormat="1" ht="13.5">
      <c r="A27" s="126"/>
      <c r="B27" s="131" t="s">
        <v>67</v>
      </c>
      <c r="C27" s="135"/>
      <c r="D27" s="132"/>
      <c r="E27" s="132"/>
      <c r="F27" s="132"/>
      <c r="G27" s="132"/>
      <c r="H27" s="132"/>
      <c r="I27" s="132"/>
      <c r="J27" s="132"/>
      <c r="K27" s="132"/>
      <c r="L27" s="126"/>
      <c r="M27" s="132"/>
      <c r="N27" s="132"/>
      <c r="O27" s="126"/>
      <c r="P27" s="126"/>
      <c r="Q27" s="133"/>
      <c r="R27" s="126"/>
      <c r="S27" s="126"/>
      <c r="T27" s="126"/>
    </row>
    <row r="28" spans="1:20" s="127" customFormat="1" ht="13.5">
      <c r="A28" s="126"/>
      <c r="B28" s="134" t="s">
        <v>2</v>
      </c>
      <c r="C28" s="136">
        <v>0.18</v>
      </c>
      <c r="D28" s="132" t="s">
        <v>6</v>
      </c>
      <c r="E28" s="137" t="str">
        <f>IF($C$28&gt;0,IF($C$28&gt;1,"Fehler",IF($C$28&gt;0.18,"OK","8-TUNG")),"Fehler")</f>
        <v>8-TUNG</v>
      </c>
      <c r="F28" s="132"/>
      <c r="G28" s="132"/>
      <c r="H28" s="132"/>
      <c r="I28" s="132"/>
      <c r="J28" s="132"/>
      <c r="K28" s="132"/>
      <c r="L28" s="126"/>
      <c r="M28" s="132"/>
      <c r="N28" s="132"/>
      <c r="O28" s="126"/>
      <c r="P28" s="126"/>
      <c r="Q28" s="133"/>
      <c r="R28" s="126"/>
      <c r="S28" s="126"/>
      <c r="T28" s="126"/>
    </row>
    <row r="29" spans="1:20" s="127" customFormat="1" ht="13.5">
      <c r="A29" s="126"/>
      <c r="B29" s="134" t="s">
        <v>58</v>
      </c>
      <c r="C29" s="136">
        <v>1.6</v>
      </c>
      <c r="D29" s="132" t="s">
        <v>6</v>
      </c>
      <c r="E29" s="137" t="str">
        <f>IF($C$29&gt;$C$28,IF($C$29&gt;2,"Fehler",IF($C$29&gt;1.6,"8-TUNG","OK")),"Fehler")</f>
        <v>OK</v>
      </c>
      <c r="F29" s="132"/>
      <c r="G29" s="132"/>
      <c r="H29" s="132"/>
      <c r="I29" s="132"/>
      <c r="J29" s="132" t="s">
        <v>50</v>
      </c>
      <c r="K29" s="132"/>
      <c r="L29" s="126"/>
      <c r="M29" s="132"/>
      <c r="N29" s="132"/>
      <c r="O29" s="126"/>
      <c r="P29" s="126"/>
      <c r="Q29" s="133"/>
      <c r="R29" s="126"/>
      <c r="S29" s="126"/>
      <c r="T29" s="126"/>
    </row>
    <row r="30" spans="1:20" s="127" customFormat="1" ht="5.25" customHeight="1">
      <c r="A30" s="126"/>
      <c r="B30" s="134"/>
      <c r="C30" s="138"/>
      <c r="D30" s="132"/>
      <c r="E30" s="132"/>
      <c r="F30" s="132"/>
      <c r="G30" s="132"/>
      <c r="H30" s="132"/>
      <c r="I30" s="132"/>
      <c r="J30" s="132"/>
      <c r="K30" s="132"/>
      <c r="L30" s="126"/>
      <c r="M30" s="132"/>
      <c r="N30" s="132"/>
      <c r="O30" s="126"/>
      <c r="P30" s="126"/>
      <c r="Q30" s="133"/>
      <c r="R30" s="126"/>
      <c r="S30" s="126"/>
      <c r="T30" s="126"/>
    </row>
    <row r="31" spans="1:20" s="127" customFormat="1" ht="13.5">
      <c r="A31" s="126"/>
      <c r="B31" s="134" t="s">
        <v>0</v>
      </c>
      <c r="C31" s="136">
        <v>4</v>
      </c>
      <c r="D31" s="132" t="s">
        <v>6</v>
      </c>
      <c r="E31" s="137" t="str">
        <f>IF($C$31&lt;0,"Fehler",IF($C$31&gt;4,"8-TUNG","OK"))</f>
        <v>OK</v>
      </c>
      <c r="F31" s="132"/>
      <c r="G31" s="169" t="s">
        <v>53</v>
      </c>
      <c r="H31" s="170">
        <f>($C$31/0.79-$I$36)*1/$I$40</f>
        <v>41.41160626876047</v>
      </c>
      <c r="I31" s="171" t="s">
        <v>7</v>
      </c>
      <c r="J31" s="180" t="s">
        <v>79</v>
      </c>
      <c r="K31" s="132"/>
      <c r="L31" s="126"/>
      <c r="M31" s="132"/>
      <c r="N31" s="132"/>
      <c r="O31" s="126"/>
      <c r="P31" s="126"/>
      <c r="Q31" s="133"/>
      <c r="R31" s="126"/>
      <c r="S31" s="126"/>
      <c r="T31" s="126"/>
    </row>
    <row r="32" spans="1:20" s="127" customFormat="1" ht="13.5">
      <c r="A32" s="126"/>
      <c r="B32" s="134" t="s">
        <v>1</v>
      </c>
      <c r="C32" s="136">
        <v>10</v>
      </c>
      <c r="D32" s="132" t="s">
        <v>6</v>
      </c>
      <c r="E32" s="137" t="str">
        <f>IF($C$32&lt;0,"Fehler",IF($C$32&gt;10,"8-TUNG","OK"))</f>
        <v>OK</v>
      </c>
      <c r="F32" s="132"/>
      <c r="G32" s="180"/>
      <c r="H32" s="132"/>
      <c r="I32" s="132"/>
      <c r="J32" s="132" t="s">
        <v>83</v>
      </c>
      <c r="K32" s="132"/>
      <c r="L32" s="126"/>
      <c r="M32" s="132"/>
      <c r="N32" s="132"/>
      <c r="O32" s="126"/>
      <c r="P32" s="126"/>
      <c r="Q32" s="133"/>
      <c r="R32" s="126"/>
      <c r="S32" s="126"/>
      <c r="T32" s="126"/>
    </row>
    <row r="33" spans="1:20" s="127" customFormat="1" ht="6.75" customHeight="1">
      <c r="A33" s="126"/>
      <c r="B33" s="134"/>
      <c r="C33" s="139"/>
      <c r="D33" s="132"/>
      <c r="E33" s="132"/>
      <c r="F33" s="132"/>
      <c r="G33" s="132"/>
      <c r="H33" s="132"/>
      <c r="I33" s="132"/>
      <c r="J33" s="132"/>
      <c r="K33" s="132"/>
      <c r="L33" s="126"/>
      <c r="M33" s="132"/>
      <c r="N33" s="132"/>
      <c r="O33" s="126"/>
      <c r="P33" s="126"/>
      <c r="Q33" s="133"/>
      <c r="R33" s="126"/>
      <c r="S33" s="126"/>
      <c r="T33" s="126"/>
    </row>
    <row r="34" spans="1:20" s="127" customFormat="1" ht="15.75" customHeight="1">
      <c r="A34" s="126"/>
      <c r="B34" s="131" t="s">
        <v>68</v>
      </c>
      <c r="C34" s="140"/>
      <c r="D34" s="132"/>
      <c r="E34" s="132"/>
      <c r="F34" s="132"/>
      <c r="G34" s="132"/>
      <c r="H34" s="132"/>
      <c r="I34" s="132"/>
      <c r="J34" s="132"/>
      <c r="K34" s="132"/>
      <c r="L34" s="126"/>
      <c r="M34" s="132"/>
      <c r="N34" s="132"/>
      <c r="O34" s="126"/>
      <c r="P34" s="126"/>
      <c r="Q34" s="133"/>
      <c r="R34" s="126"/>
      <c r="S34" s="126"/>
      <c r="T34" s="126"/>
    </row>
    <row r="35" spans="1:20" s="127" customFormat="1" ht="13.5">
      <c r="A35" s="126"/>
      <c r="B35" s="134" t="s">
        <v>70</v>
      </c>
      <c r="C35" s="141">
        <v>1</v>
      </c>
      <c r="D35" s="142" t="s">
        <v>10</v>
      </c>
      <c r="E35" s="172" t="str">
        <f>IF($C$35=1,"OK",IF($C$35=2,"OK","Fehler"))</f>
        <v>OK</v>
      </c>
      <c r="F35" s="126"/>
      <c r="G35" s="126"/>
      <c r="H35" s="126"/>
      <c r="I35" s="126"/>
      <c r="J35" s="126"/>
      <c r="K35" s="132"/>
      <c r="L35" s="126"/>
      <c r="M35" s="132"/>
      <c r="N35" s="132"/>
      <c r="O35" s="126"/>
      <c r="P35" s="126"/>
      <c r="Q35" s="133"/>
      <c r="R35" s="126"/>
      <c r="S35" s="126"/>
      <c r="T35" s="126"/>
    </row>
    <row r="36" spans="1:20" s="127" customFormat="1" ht="14.25">
      <c r="A36" s="126"/>
      <c r="B36" s="166" t="s">
        <v>71</v>
      </c>
      <c r="C36" s="173">
        <v>1.013</v>
      </c>
      <c r="D36" s="132" t="s">
        <v>6</v>
      </c>
      <c r="E36" s="137" t="str">
        <f>IF($C$35=1,IF($C$36&gt;0.6,IF($C$36&lt;1.0135,"OK","Fehler"),"Fehler"),"n.a.")</f>
        <v>OK</v>
      </c>
      <c r="F36" s="126"/>
      <c r="G36" s="167" t="s">
        <v>72</v>
      </c>
      <c r="H36" s="167"/>
      <c r="I36" s="174">
        <f>IF($C$35=1,$C$36,1.013*EXP((-1*$C$24*$C$25*$C$37)/(1.013*100000)))</f>
        <v>1.013</v>
      </c>
      <c r="J36" s="167" t="s">
        <v>6</v>
      </c>
      <c r="K36" s="162"/>
      <c r="L36" s="167"/>
      <c r="M36" s="132"/>
      <c r="N36" s="132" t="s">
        <v>80</v>
      </c>
      <c r="O36" s="126"/>
      <c r="P36" s="126"/>
      <c r="Q36" s="133"/>
      <c r="R36" s="126"/>
      <c r="S36" s="126"/>
      <c r="T36" s="126"/>
    </row>
    <row r="37" spans="1:20" s="127" customFormat="1" ht="14.25">
      <c r="A37" s="126"/>
      <c r="B37" s="166" t="s">
        <v>69</v>
      </c>
      <c r="C37" s="157">
        <v>0</v>
      </c>
      <c r="D37" s="132" t="s">
        <v>7</v>
      </c>
      <c r="E37" s="158" t="str">
        <f>IF($C$35=2,IF($C$37&lt;0,"Fehler",IF($C$37&lt;4001,"OK","Fehler")),"n.a.")</f>
        <v>n.a.</v>
      </c>
      <c r="F37" s="126"/>
      <c r="G37" s="162" t="s">
        <v>73</v>
      </c>
      <c r="H37" s="162"/>
      <c r="I37" s="168">
        <f>IF($C$35=2,$C$37,(LN($C$36/1.013)*(-1)*1.013*100000)/($C$24*$C$25))</f>
        <v>0</v>
      </c>
      <c r="J37" s="162" t="s">
        <v>7</v>
      </c>
      <c r="K37" s="162"/>
      <c r="L37" s="167"/>
      <c r="M37" s="132"/>
      <c r="N37" s="132"/>
      <c r="O37" s="126"/>
      <c r="P37" s="126"/>
      <c r="Q37" s="133"/>
      <c r="R37" s="126"/>
      <c r="S37" s="126"/>
      <c r="T37" s="126"/>
    </row>
    <row r="38" spans="1:20" s="127" customFormat="1" ht="3.75" customHeight="1">
      <c r="A38" s="126"/>
      <c r="B38" s="134"/>
      <c r="C38" s="165"/>
      <c r="D38" s="132"/>
      <c r="E38" s="158"/>
      <c r="F38" s="126"/>
      <c r="G38" s="132"/>
      <c r="H38" s="132"/>
      <c r="I38" s="132"/>
      <c r="J38" s="132"/>
      <c r="K38" s="132"/>
      <c r="L38" s="126"/>
      <c r="M38" s="132"/>
      <c r="N38" s="132"/>
      <c r="O38" s="126"/>
      <c r="P38" s="126"/>
      <c r="Q38" s="133"/>
      <c r="R38" s="126"/>
      <c r="S38" s="126"/>
      <c r="T38" s="126"/>
    </row>
    <row r="39" spans="1:20" s="127" customFormat="1" ht="13.5">
      <c r="A39" s="126"/>
      <c r="B39" s="134" t="s">
        <v>19</v>
      </c>
      <c r="C39" s="141">
        <v>1</v>
      </c>
      <c r="D39" s="142" t="s">
        <v>10</v>
      </c>
      <c r="E39" s="172" t="str">
        <f>IF($C$39=1,"OK",IF($C$39=2,"OK","Fehler"))</f>
        <v>OK</v>
      </c>
      <c r="F39" s="126"/>
      <c r="G39" s="162" t="s">
        <v>74</v>
      </c>
      <c r="H39" s="162"/>
      <c r="I39" s="163">
        <f>IF($C$39=1,997,IF($C$39=2,1030,"Fehler"))</f>
        <v>997</v>
      </c>
      <c r="J39" s="162" t="s">
        <v>43</v>
      </c>
      <c r="K39" s="162"/>
      <c r="L39" s="167"/>
      <c r="M39" s="132"/>
      <c r="N39" s="132"/>
      <c r="O39" s="126"/>
      <c r="P39" s="126"/>
      <c r="Q39" s="133"/>
      <c r="R39" s="126"/>
      <c r="S39" s="126"/>
      <c r="T39" s="126"/>
    </row>
    <row r="40" spans="1:20" s="127" customFormat="1" ht="13.5">
      <c r="A40" s="126"/>
      <c r="B40" s="134"/>
      <c r="C40" s="161"/>
      <c r="D40" s="142"/>
      <c r="E40" s="142"/>
      <c r="F40" s="126"/>
      <c r="G40" s="162" t="s">
        <v>75</v>
      </c>
      <c r="H40" s="162"/>
      <c r="I40" s="163">
        <f>$I$39*9.81/100000</f>
        <v>0.0978057</v>
      </c>
      <c r="J40" s="162" t="s">
        <v>44</v>
      </c>
      <c r="K40" s="162"/>
      <c r="L40" s="167"/>
      <c r="M40" s="132"/>
      <c r="N40" s="132"/>
      <c r="O40" s="132"/>
      <c r="P40" s="132"/>
      <c r="Q40" s="133"/>
      <c r="R40" s="126"/>
      <c r="S40" s="126"/>
      <c r="T40" s="126"/>
    </row>
    <row r="41" spans="1:20" s="127" customFormat="1" ht="4.5" customHeight="1">
      <c r="A41" s="126"/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5"/>
      <c r="R41" s="126"/>
      <c r="S41" s="126"/>
      <c r="T41" s="126"/>
    </row>
    <row r="42" spans="1:20" s="127" customFormat="1" ht="18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9"/>
      <c r="M42" s="126"/>
      <c r="N42" s="126"/>
      <c r="O42" s="126"/>
      <c r="P42" s="126"/>
      <c r="Q42" s="126"/>
      <c r="R42" s="126"/>
      <c r="S42" s="126"/>
      <c r="T42" s="126"/>
    </row>
    <row r="43" spans="1:20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">
      <c r="A44" s="28"/>
      <c r="B44" s="29" t="s">
        <v>81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5.75" customHeight="1">
      <c r="A45" s="28"/>
      <c r="B45" s="28" t="s">
        <v>42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6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6.5" customHeight="1">
      <c r="A47" s="28"/>
      <c r="B47" s="63" t="s">
        <v>32</v>
      </c>
      <c r="C47" s="3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16.5" customHeight="1">
      <c r="A48" s="28"/>
      <c r="B48" s="37" t="s">
        <v>38</v>
      </c>
      <c r="C48" s="3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16.5" customHeight="1">
      <c r="A49" s="28"/>
      <c r="B49" s="37" t="s">
        <v>37</v>
      </c>
      <c r="C49" s="3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1.25" customHeight="1">
      <c r="A50" s="28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3"/>
      <c r="T50" s="28"/>
    </row>
    <row r="51" spans="1:20" ht="13.5">
      <c r="A51" s="28"/>
      <c r="B51" s="38" t="s">
        <v>17</v>
      </c>
      <c r="C51" s="64">
        <v>0</v>
      </c>
      <c r="D51" s="40" t="s">
        <v>51</v>
      </c>
      <c r="E51" s="41" t="s">
        <v>61</v>
      </c>
      <c r="F51" s="42">
        <f>IF($C$51&lt;($C$28/$F$57-$I$36)/$I$40,($C$28/$F$57-$I$36)/$I$40,IF((($C$28/$F$57-$I$36)/$I$40)&lt;0,0,(($C$28/$F$57-$I$36)/$I$40)))</f>
        <v>0</v>
      </c>
      <c r="G51" s="40" t="s">
        <v>51</v>
      </c>
      <c r="H51" s="42">
        <f>IF($C$51&lt;($C$28/$H$57-$I$36)/$I$40,($C$28/$H$57-$I$36)/$I$40,IF((($C$28/$H$57-$I$36)/$I$40)&lt;0,0,(($C$28/$H$57-$I$36)/$I$40)))</f>
        <v>0</v>
      </c>
      <c r="I51" s="40" t="s">
        <v>7</v>
      </c>
      <c r="J51" s="40"/>
      <c r="K51" s="40"/>
      <c r="L51" s="40"/>
      <c r="M51" s="40"/>
      <c r="N51" s="40"/>
      <c r="O51" s="40"/>
      <c r="P51" s="40"/>
      <c r="Q51" s="40"/>
      <c r="R51" s="40"/>
      <c r="S51" s="34"/>
      <c r="T51" s="28"/>
    </row>
    <row r="52" spans="1:20" ht="16.5" customHeight="1" thickBot="1">
      <c r="A52" s="28"/>
      <c r="B52" s="38" t="s">
        <v>18</v>
      </c>
      <c r="C52" s="64">
        <v>75</v>
      </c>
      <c r="D52" s="40" t="s">
        <v>7</v>
      </c>
      <c r="E52" s="40"/>
      <c r="F52" s="123" t="str">
        <f>IF($F$51&gt;0,"ACHTUNG","OK")</f>
        <v>OK</v>
      </c>
      <c r="G52" s="41"/>
      <c r="H52" s="123" t="str">
        <f>IF($H$51&gt;0,"ACHTUNG","OK")</f>
        <v>OK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4"/>
      <c r="T52" s="28"/>
    </row>
    <row r="53" spans="1:20" ht="15" customHeight="1" thickBot="1">
      <c r="A53" s="28"/>
      <c r="B53" s="38"/>
      <c r="C53" s="40"/>
      <c r="D53" s="40"/>
      <c r="E53" s="40"/>
      <c r="F53" s="40"/>
      <c r="G53" s="40"/>
      <c r="H53" s="40"/>
      <c r="I53" s="40"/>
      <c r="J53" s="78"/>
      <c r="K53" s="79"/>
      <c r="L53" s="79"/>
      <c r="M53" s="83"/>
      <c r="N53" s="84" t="s">
        <v>39</v>
      </c>
      <c r="O53" s="178" t="str">
        <f>IF(($H$58+$H$59)=0,"100%-O2",IF($H$59=0,"EAN"&amp;TEXT($H$57*100,"0"),IF($H$58=0,"HeOx"&amp;TEXT($H$57*100,"0")&amp;"/"&amp;TEXT($H$59*100,"0"),"Tmx"&amp;TEXT($H$57*100,"0")&amp;"/"&amp;TEXT($H$59*100,"0"))))</f>
        <v>Tmx18/33</v>
      </c>
      <c r="P53" s="179"/>
      <c r="Q53" s="179"/>
      <c r="R53" s="80"/>
      <c r="S53" s="34"/>
      <c r="T53" s="28"/>
    </row>
    <row r="54" spans="1:20" ht="12" customHeight="1" thickBot="1">
      <c r="A54" s="28"/>
      <c r="B54" s="38"/>
      <c r="C54" s="28"/>
      <c r="D54" s="28"/>
      <c r="E54" s="28"/>
      <c r="F54" s="28"/>
      <c r="G54" s="28"/>
      <c r="H54" s="43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4"/>
      <c r="T54" s="28"/>
    </row>
    <row r="55" spans="1:20" ht="20.25">
      <c r="A55" s="28"/>
      <c r="B55" s="85"/>
      <c r="C55" s="75" t="s">
        <v>49</v>
      </c>
      <c r="D55" s="93" t="s">
        <v>56</v>
      </c>
      <c r="E55" s="93"/>
      <c r="F55" s="89" t="s">
        <v>52</v>
      </c>
      <c r="G55" s="28"/>
      <c r="H55" s="176" t="s">
        <v>31</v>
      </c>
      <c r="I55" s="40"/>
      <c r="J55" s="47" t="s">
        <v>41</v>
      </c>
      <c r="K55" s="48"/>
      <c r="L55" s="49"/>
      <c r="M55" s="50"/>
      <c r="N55" s="34"/>
      <c r="O55" s="47" t="s">
        <v>40</v>
      </c>
      <c r="P55" s="49"/>
      <c r="Q55" s="49"/>
      <c r="R55" s="50"/>
      <c r="S55" s="34"/>
      <c r="T55" s="28"/>
    </row>
    <row r="56" spans="1:20" ht="13.5">
      <c r="A56" s="28"/>
      <c r="B56" s="38" t="s">
        <v>30</v>
      </c>
      <c r="C56" s="117">
        <f>$C$28/($I$36+$I$40*$C$51)</f>
        <v>0.17769002961500494</v>
      </c>
      <c r="D56" s="120">
        <f>IF($C$57&lt;$C$56,$C$57,$C$56)</f>
        <v>0.17769002961500494</v>
      </c>
      <c r="E56" s="40"/>
      <c r="F56" s="34"/>
      <c r="G56" s="28"/>
      <c r="H56" s="177"/>
      <c r="I56" s="28"/>
      <c r="J56" s="51"/>
      <c r="K56" s="39"/>
      <c r="L56" s="40"/>
      <c r="M56" s="52"/>
      <c r="N56" s="34"/>
      <c r="O56" s="51" t="s">
        <v>2</v>
      </c>
      <c r="P56" s="73"/>
      <c r="Q56" s="77">
        <f>($I$36+$I$40*$L$57)*$H$57</f>
        <v>0.18233999999999997</v>
      </c>
      <c r="R56" s="52" t="s">
        <v>6</v>
      </c>
      <c r="S56" s="34"/>
      <c r="T56" s="28"/>
    </row>
    <row r="57" spans="1:20" ht="13.5">
      <c r="A57" s="28"/>
      <c r="B57" s="38" t="s">
        <v>11</v>
      </c>
      <c r="C57" s="117">
        <f>$C$29/($I$36+$I$40*$C$52)</f>
        <v>0.19165285917617422</v>
      </c>
      <c r="D57" s="121">
        <f>IF($C$57&lt;$C$56,$C$57,$C$57)</f>
        <v>0.19165285917617422</v>
      </c>
      <c r="E57" s="44" t="s">
        <v>14</v>
      </c>
      <c r="F57" s="96">
        <f>$D$57</f>
        <v>0.19165285917617422</v>
      </c>
      <c r="G57" s="28"/>
      <c r="H57" s="124">
        <v>0.18</v>
      </c>
      <c r="I57" s="115" t="str">
        <f>IF($H$57&gt;0,IF($H$57&gt;1,"Fehler",IF($H$57&gt;0.18,"OK","8-TUNG")),"Fehler")</f>
        <v>8-TUNG</v>
      </c>
      <c r="J57" s="53"/>
      <c r="K57" s="44" t="s">
        <v>8</v>
      </c>
      <c r="L57" s="76">
        <f>IF((($C$28/$H$57-$I$36)/$I$40)&lt;0,0,(($C$28/$H$57-$I$36)/$I$40))</f>
        <v>0</v>
      </c>
      <c r="M57" s="159" t="s">
        <v>7</v>
      </c>
      <c r="N57" s="34"/>
      <c r="O57" s="51" t="s">
        <v>36</v>
      </c>
      <c r="P57" s="73"/>
      <c r="Q57" s="77">
        <f>($I$36+$I$40*$L$58)*$H$57</f>
        <v>1.4693877551020411</v>
      </c>
      <c r="R57" s="52" t="s">
        <v>6</v>
      </c>
      <c r="S57" s="34"/>
      <c r="T57" s="28"/>
    </row>
    <row r="58" spans="1:20" ht="13.5">
      <c r="A58" s="28"/>
      <c r="B58" s="38" t="s">
        <v>57</v>
      </c>
      <c r="C58" s="118">
        <v>0</v>
      </c>
      <c r="D58" s="121">
        <f>MIN($C$59,1-MAX($D$56,$D$57))</f>
        <v>0.4791321479404355</v>
      </c>
      <c r="E58" s="28"/>
      <c r="F58" s="97"/>
      <c r="G58" s="28"/>
      <c r="H58" s="124">
        <v>0.49</v>
      </c>
      <c r="I58" s="115" t="str">
        <f>IF($H$58&lt;0,"Fehler",IF($H$58&gt;1,"Fehler","OK"))</f>
        <v>OK</v>
      </c>
      <c r="J58" s="53"/>
      <c r="K58" s="44" t="s">
        <v>9</v>
      </c>
      <c r="L58" s="76">
        <f>MIN(IF($H$57&gt;0,($C$29/$H$57-$I$36)/$I$40,999.9),IF($H$58&gt;0,($C$31/$H$58-$I$36)/$I$40,999.9),IF($H$59&gt;0,($C$32/$H$59-$I$36)/$I$40,999.9))</f>
        <v>73.10683637172936</v>
      </c>
      <c r="M58" s="159" t="s">
        <v>7</v>
      </c>
      <c r="N58" s="34"/>
      <c r="O58" s="51" t="s">
        <v>0</v>
      </c>
      <c r="P58" s="73"/>
      <c r="Q58" s="77">
        <f>($I$36+$I$40*$L$58)*$H$58</f>
        <v>4.000000000000001</v>
      </c>
      <c r="R58" s="52" t="s">
        <v>6</v>
      </c>
      <c r="S58" s="34"/>
      <c r="T58" s="28"/>
    </row>
    <row r="59" spans="1:20" ht="13.5">
      <c r="A59" s="28"/>
      <c r="B59" s="38" t="s">
        <v>12</v>
      </c>
      <c r="C59" s="117">
        <f>MIN(1,$C$31/($I$36+$I$40*$C$52))</f>
        <v>0.4791321479404355</v>
      </c>
      <c r="D59" s="121">
        <f>MIN($C$59,1-MIN($D$56,$D$57))</f>
        <v>0.4791321479404355</v>
      </c>
      <c r="E59" s="44" t="s">
        <v>15</v>
      </c>
      <c r="F59" s="96">
        <f>MIN($D$58,$D$59)</f>
        <v>0.4791321479404355</v>
      </c>
      <c r="G59" s="28"/>
      <c r="H59" s="125">
        <v>0.33</v>
      </c>
      <c r="I59" s="116" t="str">
        <f>IF($H$59&lt;0,"Fehler",IF($H$59&gt;1,"Fehler","OK"))</f>
        <v>OK</v>
      </c>
      <c r="J59" s="51"/>
      <c r="K59" s="40"/>
      <c r="L59" s="40"/>
      <c r="M59" s="159"/>
      <c r="N59" s="34"/>
      <c r="O59" s="51" t="s">
        <v>1</v>
      </c>
      <c r="P59" s="73"/>
      <c r="Q59" s="77">
        <f>($I$36+$I$40*$L$58)*$H$59</f>
        <v>2.693877551020409</v>
      </c>
      <c r="R59" s="52" t="s">
        <v>6</v>
      </c>
      <c r="S59" s="34"/>
      <c r="T59" s="28"/>
    </row>
    <row r="60" spans="1:20" ht="14.25" thickBot="1">
      <c r="A60" s="28"/>
      <c r="B60" s="38" t="s">
        <v>55</v>
      </c>
      <c r="C60" s="118">
        <v>0</v>
      </c>
      <c r="D60" s="120">
        <f>MIN($C$61,1-MAX($D$56,$D$57))</f>
        <v>0.8083471408238257</v>
      </c>
      <c r="E60" s="40"/>
      <c r="F60" s="98"/>
      <c r="G60" s="74" t="s">
        <v>54</v>
      </c>
      <c r="H60" s="45">
        <f>SUM(H57:H59)</f>
        <v>1</v>
      </c>
      <c r="I60" s="40"/>
      <c r="J60" s="61"/>
      <c r="K60" s="87" t="s">
        <v>45</v>
      </c>
      <c r="L60" s="106">
        <f>IF($H$58&gt;0,MAX(0,($Q$58/0.79-$I$36)/$I$40),0)</f>
        <v>41.41160626876049</v>
      </c>
      <c r="M60" s="160" t="s">
        <v>7</v>
      </c>
      <c r="N60" s="40"/>
      <c r="O60" s="61"/>
      <c r="P60" s="87" t="s">
        <v>60</v>
      </c>
      <c r="Q60" s="107">
        <f>SUM(Q57:Q59)</f>
        <v>8.163265306122451</v>
      </c>
      <c r="R60" s="62" t="s">
        <v>6</v>
      </c>
      <c r="S60" s="34"/>
      <c r="T60" s="28"/>
    </row>
    <row r="61" spans="1:20" ht="13.5">
      <c r="A61" s="28"/>
      <c r="B61" s="38" t="s">
        <v>13</v>
      </c>
      <c r="C61" s="119">
        <f>MIN(1,$C$32/($I$36+$I$40*$C$52))</f>
        <v>1</v>
      </c>
      <c r="D61" s="122">
        <f>MIN($C$61,1-MIN($D$56,$D$57))</f>
        <v>0.8223099703849951</v>
      </c>
      <c r="E61" s="86" t="s">
        <v>16</v>
      </c>
      <c r="F61" s="99">
        <f>MAX(0,1-$F$57-$F$59)</f>
        <v>0.32921499288339023</v>
      </c>
      <c r="G61" s="40"/>
      <c r="H61" s="108" t="str">
        <f>IF($H$60=1,"OK","Fehler")</f>
        <v>OK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34"/>
      <c r="T61" s="40"/>
    </row>
    <row r="62" spans="1:20" ht="15" customHeight="1">
      <c r="A62" s="28"/>
      <c r="B62" s="38"/>
      <c r="C62" s="40"/>
      <c r="D62" s="40"/>
      <c r="E62" s="74" t="s">
        <v>54</v>
      </c>
      <c r="F62" s="45">
        <f>SUM(F57:F61)</f>
        <v>1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4"/>
      <c r="T62" s="40"/>
    </row>
    <row r="63" spans="1:20" ht="18" customHeight="1">
      <c r="A63" s="28"/>
      <c r="B63" s="30"/>
      <c r="C63" s="31"/>
      <c r="D63" s="31"/>
      <c r="E63" s="31"/>
      <c r="F63" s="109" t="str">
        <f>IF($F$62=1,"OK ","Fehler")</f>
        <v>OK </v>
      </c>
      <c r="G63" s="31"/>
      <c r="H63" s="9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40"/>
    </row>
    <row r="64" spans="1:20" ht="14.25" customHeight="1">
      <c r="A64" s="28"/>
      <c r="B64" s="40"/>
      <c r="C64" s="40"/>
      <c r="D64" s="40"/>
      <c r="E64" s="40"/>
      <c r="F64" s="40"/>
      <c r="G64" s="40"/>
      <c r="H64" s="92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9.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6"/>
      <c r="P66" s="3"/>
      <c r="Q66" s="3"/>
      <c r="R66" s="3"/>
      <c r="S66" s="3"/>
      <c r="T66" s="3"/>
    </row>
    <row r="67" spans="1:20" ht="12.75" customHeight="1">
      <c r="A67" s="3"/>
      <c r="B67" s="4" t="s">
        <v>82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6"/>
      <c r="P67" s="3"/>
      <c r="Q67" s="3"/>
      <c r="R67" s="3"/>
      <c r="S67" s="3"/>
      <c r="T67" s="3"/>
    </row>
    <row r="68" spans="1:20" ht="4.5" customHeight="1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6"/>
      <c r="P68" s="3"/>
      <c r="Q68" s="3"/>
      <c r="R68" s="3"/>
      <c r="S68" s="3"/>
      <c r="T68" s="3"/>
    </row>
    <row r="69" spans="1:20" ht="13.5" customHeight="1" thickBot="1">
      <c r="A69" s="3"/>
      <c r="B69" s="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70"/>
      <c r="P69" s="10"/>
      <c r="Q69" s="6"/>
      <c r="R69" s="3"/>
      <c r="S69" s="3"/>
      <c r="T69" s="3"/>
    </row>
    <row r="70" spans="1:20" ht="15" customHeight="1" thickBot="1">
      <c r="A70" s="3"/>
      <c r="B70" s="7"/>
      <c r="C70" s="8"/>
      <c r="D70" s="8"/>
      <c r="E70" s="8"/>
      <c r="F70" s="8"/>
      <c r="G70" s="8"/>
      <c r="H70" s="8"/>
      <c r="I70" s="81"/>
      <c r="J70" s="110"/>
      <c r="K70" s="111"/>
      <c r="L70" s="111" t="s">
        <v>39</v>
      </c>
      <c r="M70" s="112" t="str">
        <f>IF(($C$75+$C$76)=0,"100%-O2",IF($C$76=0,"EAN"&amp;TEXT($C$74*100,"0"),IF($C$75=0,"HeOx"&amp;TEXT($C$74*100,"0")&amp;"/"&amp;TEXT($C$76*100,"0"),"Tmx"&amp;TEXT($C$74*100,"0")&amp;"/"&amp;TEXT($C$76*100,"0"))))</f>
        <v>Tmx18/33</v>
      </c>
      <c r="N70" s="110"/>
      <c r="O70" s="110"/>
      <c r="P70" s="82"/>
      <c r="Q70" s="9"/>
      <c r="R70" s="3"/>
      <c r="S70" s="3"/>
      <c r="T70" s="3"/>
    </row>
    <row r="71" spans="1:20" ht="12.75" customHeight="1" thickBot="1">
      <c r="A71" s="3"/>
      <c r="B71" s="7"/>
      <c r="C71" s="8"/>
      <c r="D71" s="8"/>
      <c r="E71" s="8"/>
      <c r="F71" s="20" t="s">
        <v>76</v>
      </c>
      <c r="G71" s="6"/>
      <c r="H71" s="8"/>
      <c r="I71" s="17"/>
      <c r="J71" s="21"/>
      <c r="K71" s="8"/>
      <c r="L71" s="8"/>
      <c r="M71" s="8"/>
      <c r="N71" s="8"/>
      <c r="O71" s="69"/>
      <c r="P71" s="8"/>
      <c r="Q71" s="9"/>
      <c r="R71" s="3"/>
      <c r="S71" s="3"/>
      <c r="T71" s="3"/>
    </row>
    <row r="72" spans="1:20" ht="15" customHeight="1">
      <c r="A72" s="3"/>
      <c r="B72" s="7" t="s">
        <v>29</v>
      </c>
      <c r="C72" s="16"/>
      <c r="D72" s="8"/>
      <c r="E72" s="8"/>
      <c r="F72" s="18" t="s">
        <v>8</v>
      </c>
      <c r="G72" s="19" t="s">
        <v>9</v>
      </c>
      <c r="H72" s="8"/>
      <c r="I72" s="54" t="s">
        <v>35</v>
      </c>
      <c r="J72" s="55"/>
      <c r="K72" s="56"/>
      <c r="L72" s="8"/>
      <c r="M72" s="67"/>
      <c r="N72" s="72" t="s">
        <v>33</v>
      </c>
      <c r="O72" s="68"/>
      <c r="P72" s="56"/>
      <c r="Q72" s="9"/>
      <c r="R72" s="3"/>
      <c r="S72" s="3"/>
      <c r="T72" s="3"/>
    </row>
    <row r="73" spans="1:20" ht="13.5">
      <c r="A73" s="3"/>
      <c r="B73" s="7"/>
      <c r="C73" s="16"/>
      <c r="D73" s="8"/>
      <c r="E73" s="8"/>
      <c r="F73" s="18" t="s">
        <v>21</v>
      </c>
      <c r="G73" s="19" t="s">
        <v>21</v>
      </c>
      <c r="H73" s="8"/>
      <c r="I73" s="57"/>
      <c r="J73" s="8"/>
      <c r="K73" s="58"/>
      <c r="L73" s="8"/>
      <c r="M73" s="57" t="s">
        <v>2</v>
      </c>
      <c r="N73" s="8"/>
      <c r="O73" s="100">
        <f>($I$36+$I$40*$J$74)*$C$74</f>
        <v>0.18233999999999997</v>
      </c>
      <c r="P73" s="58" t="s">
        <v>6</v>
      </c>
      <c r="Q73" s="9"/>
      <c r="R73" s="3"/>
      <c r="S73" s="3"/>
      <c r="T73" s="3"/>
    </row>
    <row r="74" spans="1:20" ht="13.5">
      <c r="A74" s="3"/>
      <c r="B74" s="7" t="s">
        <v>3</v>
      </c>
      <c r="C74" s="65">
        <v>0.18</v>
      </c>
      <c r="D74" s="114" t="str">
        <f>IF($C$74&gt;0,IF($C$74&gt;1,"Fehler",IF($C$74&gt;0.18,"OK","8-TUNG")),"Fehler")</f>
        <v>8-TUNG</v>
      </c>
      <c r="E74" s="11"/>
      <c r="F74" s="22">
        <f>IF((($C$28/$C$74-$I$36)/$I$40)&lt;0,0,(($C$28/$C$74-$I$36)/$I$40))</f>
        <v>0</v>
      </c>
      <c r="G74" s="23">
        <f>($C$29/$C74-$I$36)/$I$40</f>
        <v>80.52586801064652</v>
      </c>
      <c r="H74" s="8"/>
      <c r="I74" s="59" t="s">
        <v>8</v>
      </c>
      <c r="J74" s="27">
        <f>MAX($F$74:$F$76)</f>
        <v>0</v>
      </c>
      <c r="K74" s="102" t="s">
        <v>7</v>
      </c>
      <c r="L74" s="8"/>
      <c r="M74" s="57" t="s">
        <v>36</v>
      </c>
      <c r="N74" s="8"/>
      <c r="O74" s="100">
        <f>($I$36+$I$40*$J$75)*$C$74</f>
        <v>1.4693877551020411</v>
      </c>
      <c r="P74" s="58" t="s">
        <v>6</v>
      </c>
      <c r="Q74" s="9"/>
      <c r="R74" s="3"/>
      <c r="S74" s="3"/>
      <c r="T74" s="3"/>
    </row>
    <row r="75" spans="1:20" ht="13.5">
      <c r="A75" s="3"/>
      <c r="B75" s="7" t="s">
        <v>4</v>
      </c>
      <c r="C75" s="65">
        <v>0.49</v>
      </c>
      <c r="D75" s="114" t="str">
        <f>IF($C$75&lt;0,"Fehler",IF($C$75&gt;1,"Fehler","OK"))</f>
        <v>OK</v>
      </c>
      <c r="E75" s="8"/>
      <c r="F75" s="24">
        <v>0</v>
      </c>
      <c r="G75" s="23">
        <f>IF($C$75&gt;0,($C$31/$C$75-$I$36)/$I$40,999.9)</f>
        <v>73.10683637172936</v>
      </c>
      <c r="H75" s="8"/>
      <c r="I75" s="59" t="s">
        <v>9</v>
      </c>
      <c r="J75" s="27">
        <f>MIN($G$74:$G$76)</f>
        <v>73.10683637172936</v>
      </c>
      <c r="K75" s="102" t="s">
        <v>7</v>
      </c>
      <c r="L75" s="8"/>
      <c r="M75" s="57" t="s">
        <v>0</v>
      </c>
      <c r="N75" s="8"/>
      <c r="O75" s="100">
        <f>($I$36+$I$40*$J$75)*$C$75</f>
        <v>4.000000000000001</v>
      </c>
      <c r="P75" s="58" t="s">
        <v>6</v>
      </c>
      <c r="Q75" s="9"/>
      <c r="R75" s="3"/>
      <c r="S75" s="3"/>
      <c r="T75" s="3"/>
    </row>
    <row r="76" spans="1:20" ht="13.5">
      <c r="A76" s="3"/>
      <c r="B76" s="7" t="s">
        <v>5</v>
      </c>
      <c r="C76" s="65">
        <v>0.33</v>
      </c>
      <c r="D76" s="114" t="str">
        <f>IF($C$76&lt;0,"Fehler",IF($C$76&gt;1,"Fehler","OK"))</f>
        <v>OK</v>
      </c>
      <c r="E76" s="8"/>
      <c r="F76" s="25">
        <v>0</v>
      </c>
      <c r="G76" s="26">
        <f>IF($C$76&gt;0,($C$32/$C$76-$I$36)/$I$40,999.9)</f>
        <v>299.4716085364176</v>
      </c>
      <c r="H76" s="8"/>
      <c r="I76" s="57"/>
      <c r="J76" s="8"/>
      <c r="K76" s="102"/>
      <c r="L76" s="8"/>
      <c r="M76" s="57" t="s">
        <v>1</v>
      </c>
      <c r="N76" s="8"/>
      <c r="O76" s="100">
        <f>($I$36+$I$40*$J$75)*$C$76</f>
        <v>2.693877551020409</v>
      </c>
      <c r="P76" s="58" t="s">
        <v>6</v>
      </c>
      <c r="Q76" s="9"/>
      <c r="R76" s="3"/>
      <c r="S76" s="3"/>
      <c r="T76" s="3"/>
    </row>
    <row r="77" spans="1:20" ht="14.25" thickBot="1">
      <c r="A77" s="3"/>
      <c r="B77" s="12" t="s">
        <v>54</v>
      </c>
      <c r="C77" s="13">
        <f>SUM($C74:$C76)</f>
        <v>1</v>
      </c>
      <c r="D77" s="8"/>
      <c r="E77" s="8"/>
      <c r="F77" s="8"/>
      <c r="G77" s="8"/>
      <c r="H77" s="8"/>
      <c r="I77" s="88" t="s">
        <v>45</v>
      </c>
      <c r="J77" s="105">
        <f>IF($C$75&gt;0,MAX(0,($O$75/0.79-$I$36)/$I$40),0)</f>
        <v>41.41160626876049</v>
      </c>
      <c r="K77" s="103" t="s">
        <v>7</v>
      </c>
      <c r="L77" s="8"/>
      <c r="M77" s="60"/>
      <c r="N77" s="101" t="s">
        <v>59</v>
      </c>
      <c r="O77" s="104">
        <f>SUM(O74:O76)</f>
        <v>8.163265306122451</v>
      </c>
      <c r="P77" s="103" t="s">
        <v>6</v>
      </c>
      <c r="Q77" s="9"/>
      <c r="R77" s="3"/>
      <c r="S77" s="3"/>
      <c r="T77" s="3"/>
    </row>
    <row r="78" spans="1:20" ht="14.25" customHeight="1">
      <c r="A78" s="3"/>
      <c r="B78" s="91"/>
      <c r="C78" s="113" t="str">
        <f>IF($C$77=1,"OK ","Fehler")</f>
        <v>OK 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71"/>
      <c r="P78" s="14"/>
      <c r="Q78" s="15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6"/>
      <c r="P79" s="3"/>
      <c r="Q79" s="3"/>
      <c r="R79" s="3"/>
      <c r="S79" s="3"/>
      <c r="T79" s="3"/>
    </row>
    <row r="82" spans="4:6" ht="13.5">
      <c r="D82" s="94"/>
      <c r="F82" s="95"/>
    </row>
    <row r="83" spans="4:6" ht="13.5">
      <c r="D83" s="94"/>
      <c r="F83" s="95"/>
    </row>
  </sheetData>
  <sheetProtection/>
  <mergeCells count="2">
    <mergeCell ref="H55:H56"/>
    <mergeCell ref="O53:Q5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Beat Müller</cp:lastModifiedBy>
  <cp:lastPrinted>2008-01-16T18:20:37Z</cp:lastPrinted>
  <dcterms:created xsi:type="dcterms:W3CDTF">2007-09-11T05:19:40Z</dcterms:created>
  <dcterms:modified xsi:type="dcterms:W3CDTF">2008-01-16T18:47:12Z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-1651492840</vt:i4>
  </property>
  <property fmtid="{D5CDD505-2E9C-101B-9397-08002B2CF9AE}" pid="3" name="_EmailSubject">
    <vt:lpwstr>Min-MaxOD.xls</vt:lpwstr>
  </property>
  <property fmtid="{D5CDD505-2E9C-101B-9397-08002B2CF9AE}" pid="4" name="_AuthorEmail">
    <vt:lpwstr>Beat.Mueller@electrosuisse.ch</vt:lpwstr>
  </property>
  <property fmtid="{D5CDD505-2E9C-101B-9397-08002B2CF9AE}" pid="5" name="_AuthorEmailDisplayName">
    <vt:lpwstr>Müller Beat</vt:lpwstr>
  </property>
  <property fmtid="{D5CDD505-2E9C-101B-9397-08002B2CF9AE}" pid="6" name="_PreviousAdHocReviewCycleID">
    <vt:i4>-574795968</vt:i4>
  </property>
</Properties>
</file>